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895" windowHeight="7365" activeTab="0"/>
  </bookViews>
  <sheets>
    <sheet name="Cash Flow" sheetId="1" r:id="rId1"/>
    <sheet name="Instructions" sheetId="2" r:id="rId2"/>
    <sheet name="Revision History" sheetId="3" state="hidden" r:id="rId3"/>
  </sheets>
  <definedNames>
    <definedName name="_xlnm.Print_Area" localSheetId="0">'Cash Flow'!$A$1:$J$67</definedName>
    <definedName name="_xlnm.Print_Area" localSheetId="1">'Instructions'!$A$1:$B$48</definedName>
  </definedNames>
  <calcPr fullCalcOnLoad="1"/>
</workbook>
</file>

<file path=xl/sharedStrings.xml><?xml version="1.0" encoding="utf-8"?>
<sst xmlns="http://schemas.openxmlformats.org/spreadsheetml/2006/main" count="157" uniqueCount="138">
  <si>
    <t>Small Wind Cash Flow Analysis</t>
  </si>
  <si>
    <t>Model Inputs</t>
  </si>
  <si>
    <t>Net</t>
  </si>
  <si>
    <t>Annual</t>
  </si>
  <si>
    <t>Total</t>
  </si>
  <si>
    <t>Project Investment</t>
  </si>
  <si>
    <t>Year</t>
  </si>
  <si>
    <t>Financing</t>
  </si>
  <si>
    <t>O&amp;M</t>
  </si>
  <si>
    <t>Energy</t>
  </si>
  <si>
    <t>Cash Flow</t>
  </si>
  <si>
    <t xml:space="preserve">  Machine</t>
  </si>
  <si>
    <t xml:space="preserve">  Rotor Diameter, ft.</t>
  </si>
  <si>
    <t xml:space="preserve">  Installed Cost, $</t>
  </si>
  <si>
    <t xml:space="preserve">  Less: USDA REAP Grant, %</t>
  </si>
  <si>
    <t xml:space="preserve">  Net Project Cost</t>
  </si>
  <si>
    <t xml:space="preserve">  Down Payment, %</t>
  </si>
  <si>
    <t xml:space="preserve">  Loan Amount</t>
  </si>
  <si>
    <t xml:space="preserve">  Interest Rate, %</t>
  </si>
  <si>
    <t xml:space="preserve">  Loan Term, yrs.</t>
  </si>
  <si>
    <t xml:space="preserve">  Annual Loan Payment</t>
  </si>
  <si>
    <t>O&amp;M Cost</t>
  </si>
  <si>
    <t xml:space="preserve">  Cost per kWh</t>
  </si>
  <si>
    <t>or</t>
  </si>
  <si>
    <t xml:space="preserve">  Pecent of Installed Cost</t>
  </si>
  <si>
    <t xml:space="preserve">  O&amp;M Inflation Rate, %</t>
  </si>
  <si>
    <t>Energy Production</t>
  </si>
  <si>
    <t xml:space="preserve">  Rated Capacity, kW</t>
  </si>
  <si>
    <t xml:space="preserve">  Capacity Factor, %</t>
  </si>
  <si>
    <t xml:space="preserve">  Annual Energy Output, kWh</t>
  </si>
  <si>
    <t>Energy Consumption</t>
  </si>
  <si>
    <t xml:space="preserve">  Annual Consumption, kWh</t>
  </si>
  <si>
    <t xml:space="preserve">  Ret. Elec. Rate, $/kWh</t>
  </si>
  <si>
    <t xml:space="preserve">  Elec. Inflation Rate, %</t>
  </si>
  <si>
    <t xml:space="preserve">  Net Billing or Net Metering</t>
  </si>
  <si>
    <t>NB</t>
  </si>
  <si>
    <r>
      <t xml:space="preserve">  </t>
    </r>
    <r>
      <rPr>
        <u val="single"/>
        <sz val="10"/>
        <color indexed="8"/>
        <rFont val="Arial"/>
        <family val="2"/>
      </rPr>
      <t>Net Billing</t>
    </r>
  </si>
  <si>
    <t>Net Present Value</t>
  </si>
  <si>
    <t xml:space="preserve">  Offset Energy Factor, %*</t>
  </si>
  <si>
    <t xml:space="preserve">  Offset Energy, kWh</t>
  </si>
  <si>
    <t xml:space="preserve">  Import Energy, kWh</t>
  </si>
  <si>
    <t xml:space="preserve">  Export Energy, kWh</t>
  </si>
  <si>
    <t xml:space="preserve">  Import Cost</t>
  </si>
  <si>
    <t xml:space="preserve">  Avoided Cost, $/kWh</t>
  </si>
  <si>
    <t xml:space="preserve">  Export Value, $/kWh</t>
  </si>
  <si>
    <t xml:space="preserve">    Net Energy Cost</t>
  </si>
  <si>
    <t xml:space="preserve">    Energy Savings**</t>
  </si>
  <si>
    <r>
      <t xml:space="preserve">  </t>
    </r>
    <r>
      <rPr>
        <u val="single"/>
        <sz val="10"/>
        <color indexed="8"/>
        <rFont val="Arial"/>
        <family val="2"/>
      </rPr>
      <t>Net Metering</t>
    </r>
  </si>
  <si>
    <t xml:space="preserve">  Net Excess Gen., kWh</t>
  </si>
  <si>
    <t xml:space="preserve">  NEG Value, $/kWh</t>
  </si>
  <si>
    <t>General Assumptions</t>
  </si>
  <si>
    <t xml:space="preserve">  Project Life, yrs</t>
  </si>
  <si>
    <t xml:space="preserve">  NPV Discount Rate, %</t>
  </si>
  <si>
    <t>Version 1.0</t>
  </si>
  <si>
    <t>*  Portion of production coincident with and available to offset consumption.</t>
  </si>
  <si>
    <t xml:space="preserve">   (Dependent on wind availability and load consumption pattern.)</t>
  </si>
  <si>
    <t>** Electricity bill without generator compared to electricity bill with generator.</t>
  </si>
  <si>
    <t>Inputs and Term Descriptions</t>
  </si>
  <si>
    <t>Machine</t>
  </si>
  <si>
    <t>Not used in calculations, but useful to identify comparisons of various machines</t>
  </si>
  <si>
    <t>Rotor Diameter</t>
  </si>
  <si>
    <t>Installed Cost</t>
  </si>
  <si>
    <t>Total cost of project including machine, tower, control equipment, installation, permits, interconnection fees, etc.</t>
  </si>
  <si>
    <t>USDA REAP Grant</t>
  </si>
  <si>
    <t>USDA offers a Renewable Energy for America Program grant.  Successful applicants can receive a grant equal to 25% of the total project cost.  Grant applications must be approved before purchase of equipment.</t>
  </si>
  <si>
    <t>ITC</t>
  </si>
  <si>
    <t>Investment Tax Credit equal to 30% of total cost</t>
  </si>
  <si>
    <t>Down Payment</t>
  </si>
  <si>
    <t>Percent of net project cost applied as a down payment on the project loan</t>
  </si>
  <si>
    <t>Interest Rate</t>
  </si>
  <si>
    <t>Annual interest rate of project financing</t>
  </si>
  <si>
    <t>Loan Term</t>
  </si>
  <si>
    <t>Length of loan in years</t>
  </si>
  <si>
    <t>Cost per kWh</t>
  </si>
  <si>
    <t>Assume $0.01/kWh - $0.02/kWh</t>
  </si>
  <si>
    <t>Percent of Installed Cost</t>
  </si>
  <si>
    <t>Assume 2% to 3%</t>
  </si>
  <si>
    <t>O&amp;M Inflation Rate</t>
  </si>
  <si>
    <t>Annual rate of inflation of O&amp;M costs</t>
  </si>
  <si>
    <t>Rated Capacity</t>
  </si>
  <si>
    <t>Manufacturer's rated power output in kilowatts</t>
  </si>
  <si>
    <t>Capacity Factor</t>
  </si>
  <si>
    <t>Efficiency rating, expressed as a percent, measuring the energy produced by the wind machine over a given period divided by the potential energy produced by the machine if it had run at full capacity for the same time period.  This is best determined by a wind study of your site.  If this data is not available, assume a capacity factor of 15% to 30%.</t>
  </si>
  <si>
    <t>Annual Energy Output</t>
  </si>
  <si>
    <t>Estimated annual kilowatt-hour output obtained from the manufacturer for wind speeds at your site</t>
  </si>
  <si>
    <t>Annual Energy Consumption</t>
  </si>
  <si>
    <t>Customer's annual energy use in kilowatt-hours</t>
  </si>
  <si>
    <t>Retail Electric Rate</t>
  </si>
  <si>
    <t>Average energy rate not including customer or demand charges</t>
  </si>
  <si>
    <t>Electricity Price Inflation Rate</t>
  </si>
  <si>
    <t>Assumed annual rate of inflation of electricity rate</t>
  </si>
  <si>
    <t>Net Billing or Net Metering</t>
  </si>
  <si>
    <t>Choose either NB or NM depending on type of interconnection</t>
  </si>
  <si>
    <t>Net Billing:</t>
  </si>
  <si>
    <t>Offset Energy Factor</t>
  </si>
  <si>
    <r>
      <t xml:space="preserve">Portion of production available to offset </t>
    </r>
    <r>
      <rPr>
        <u val="single"/>
        <sz val="10"/>
        <color indexed="8"/>
        <rFont val="Arial"/>
        <family val="2"/>
      </rPr>
      <t>instantaneous</t>
    </r>
    <r>
      <rPr>
        <sz val="10"/>
        <color theme="1"/>
        <rFont val="Arial"/>
        <family val="2"/>
      </rPr>
      <t xml:space="preserve"> consumption.  Assume 70% to 100%.</t>
    </r>
  </si>
  <si>
    <t>Offset Energy</t>
  </si>
  <si>
    <t>This energy is consumed locally and offsets energy that would have been purchased from the utility.</t>
  </si>
  <si>
    <t>Import Energy</t>
  </si>
  <si>
    <t>Export Energy</t>
  </si>
  <si>
    <t>Energy delivered to the utility.  This is equal to the total energy produced by the wind machine less the Offset Energy.</t>
  </si>
  <si>
    <t>Avoided Cost</t>
  </si>
  <si>
    <t>This is your utility's average avoided cost of energy.  The actual figure will vary from month to month.  Contact your local utility for an average of historical prices paid or assume $0.02/kWh - $0.04/kWh.</t>
  </si>
  <si>
    <t>Export Value</t>
  </si>
  <si>
    <t>The purchase rate paid by your utility for energy exported to the grid.  In Kansas, this is equal to 150% of the utility's average avoided cost.</t>
  </si>
  <si>
    <t>Net Metering:</t>
  </si>
  <si>
    <r>
      <t xml:space="preserve">Production available to offset </t>
    </r>
    <r>
      <rPr>
        <u val="single"/>
        <sz val="10"/>
        <color indexed="8"/>
        <rFont val="Arial"/>
        <family val="2"/>
      </rPr>
      <t>billing period</t>
    </r>
    <r>
      <rPr>
        <sz val="10"/>
        <color theme="1"/>
        <rFont val="Arial"/>
        <family val="2"/>
      </rPr>
      <t xml:space="preserve"> consumption.  This energy is consumed locally and offsets energy that would have been purchased from the utility.</t>
    </r>
  </si>
  <si>
    <t>Net Excess Energy</t>
  </si>
  <si>
    <t>Net Excess Generation Value</t>
  </si>
  <si>
    <t>Purchase rate paid (or credited) by the utility for net excess generation.  Kansas law provides for a credit equal to the retail energy rate to be carried forward until the end of the year when they expire.</t>
  </si>
  <si>
    <t>Project Life</t>
  </si>
  <si>
    <t>Expected life of wind machine in years (Maximum of 30)</t>
  </si>
  <si>
    <t>NPV Discount Rate</t>
  </si>
  <si>
    <t>Rate used to discount future cash flows to their present value.  Choose a rate that you would expect to earn on an alternative investment.</t>
  </si>
  <si>
    <t>Financing/</t>
  </si>
  <si>
    <t>Tax Credit</t>
  </si>
  <si>
    <t>Cumm.</t>
  </si>
  <si>
    <t xml:space="preserve">  Investment Tax Cr. (Yr. 1),%</t>
  </si>
  <si>
    <t>Version 1.1</t>
  </si>
  <si>
    <t>Savings</t>
  </si>
  <si>
    <t>Internal Rate of Return</t>
  </si>
  <si>
    <t>KEC Small Wind Cash Flow Analysis</t>
  </si>
  <si>
    <t>Enter either the cost per kWh or percent of installed cost or both.  Model uses the greater of the two.</t>
  </si>
  <si>
    <t>Enter either capacity factor or annual energy output or both.  Model uses the greater of the two.</t>
  </si>
  <si>
    <t>Energy purchased from the utility.  This is equal to the customer's total energy use less the Offset Energy.</t>
  </si>
  <si>
    <t xml:space="preserve">    Production used by model</t>
  </si>
  <si>
    <t>Initial Release</t>
  </si>
  <si>
    <t>Removed investment tax credit from net project cost.  Revised year 1 cash flow to reflect receipt of ITC.</t>
  </si>
  <si>
    <t>Added totals to bottom of each type of cash flow</t>
  </si>
  <si>
    <t>Added internal rate of return formula</t>
  </si>
  <si>
    <t>Future Revisions</t>
  </si>
  <si>
    <t>Add spin buttons to select variables to allow "what if" analysis. (capacity factor, electric inflation rate, offset energy factor)</t>
  </si>
  <si>
    <t>Add guide to selecting offset energy factor</t>
  </si>
  <si>
    <t>Add explanation of difference between net billing and net metering</t>
  </si>
  <si>
    <t>Model net metering with a monthly sweep instead of an annual sweep</t>
  </si>
  <si>
    <t>Feedback</t>
  </si>
  <si>
    <t>Added hyperlink to KEC logo</t>
  </si>
  <si>
    <t>Added feedback email link</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</si>
</sst>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0.0%"/>
    <numFmt numFmtId="167" formatCode="&quot;$&quot;#,##0.000"/>
    <numFmt numFmtId="168" formatCode="\$#,##0"/>
    <numFmt numFmtId="169" formatCode="[$-409]dddd\,\ mmmm\ dd\,\ yyyy"/>
    <numFmt numFmtId="170" formatCode="mm/dd/yy;@"/>
  </numFmts>
  <fonts count="59">
    <font>
      <sz val="10"/>
      <color theme="1"/>
      <name val="Arial"/>
      <family val="2"/>
    </font>
    <font>
      <sz val="10"/>
      <color indexed="8"/>
      <name val="Arial"/>
      <family val="2"/>
    </font>
    <font>
      <u val="single"/>
      <sz val="10"/>
      <color indexed="8"/>
      <name val="Arial"/>
      <family val="2"/>
    </font>
    <font>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0"/>
      <color indexed="12"/>
      <name val="Arial"/>
      <family val="2"/>
    </font>
    <font>
      <sz val="10"/>
      <color indexed="12"/>
      <name val="Arial"/>
      <family val="2"/>
    </font>
    <font>
      <sz val="8"/>
      <color indexed="8"/>
      <name val="Arial"/>
      <family val="2"/>
    </font>
    <font>
      <sz val="24"/>
      <color indexed="8"/>
      <name val="Arial"/>
      <family val="2"/>
    </font>
    <font>
      <b/>
      <sz val="20"/>
      <color indexed="8"/>
      <name val="Arial"/>
      <family val="2"/>
    </font>
    <font>
      <sz val="20"/>
      <color indexed="8"/>
      <name val="Arial"/>
      <family val="2"/>
    </font>
    <font>
      <sz val="10"/>
      <color indexed="8"/>
      <name val="Calibri"/>
      <family val="2"/>
    </font>
    <font>
      <b/>
      <sz val="12"/>
      <color indexed="8"/>
      <name val="Calibri"/>
      <family val="2"/>
    </font>
    <font>
      <b/>
      <sz val="18"/>
      <color indexed="8"/>
      <name val="Calibri"/>
      <family val="2"/>
    </font>
    <font>
      <sz val="18"/>
      <color indexed="8"/>
      <name val="Calibri"/>
      <family val="2"/>
    </font>
    <font>
      <sz val="16"/>
      <color indexed="8"/>
      <name val="Arial"/>
      <family val="2"/>
    </font>
    <font>
      <u val="single"/>
      <sz val="10"/>
      <color indexed="12"/>
      <name val="Arial"/>
      <family val="2"/>
    </font>
    <font>
      <u val="single"/>
      <sz val="10"/>
      <color indexed="2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0"/>
      <color rgb="FF0000FF"/>
      <name val="Arial"/>
      <family val="2"/>
    </font>
    <font>
      <u val="single"/>
      <sz val="10"/>
      <color theme="1"/>
      <name val="Arial"/>
      <family val="2"/>
    </font>
    <font>
      <sz val="10"/>
      <color rgb="FF0000FF"/>
      <name val="Arial"/>
      <family val="2"/>
    </font>
    <font>
      <sz val="24"/>
      <color theme="1"/>
      <name val="Arial"/>
      <family val="2"/>
    </font>
    <font>
      <b/>
      <sz val="20"/>
      <color theme="1"/>
      <name val="Arial"/>
      <family val="2"/>
    </font>
    <font>
      <sz val="20"/>
      <color theme="1"/>
      <name val="Arial"/>
      <family val="2"/>
    </font>
    <font>
      <sz val="8"/>
      <color theme="1"/>
      <name val="Arial"/>
      <family val="2"/>
    </font>
    <font>
      <sz val="16"/>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51" fillId="33" borderId="10" xfId="0" applyFont="1" applyFill="1" applyBorder="1" applyAlignment="1">
      <alignment horizontal="centerContinuous"/>
    </xf>
    <xf numFmtId="0" fontId="51" fillId="33" borderId="11" xfId="0" applyFont="1" applyFill="1" applyBorder="1" applyAlignment="1">
      <alignment horizontal="centerContinuous"/>
    </xf>
    <xf numFmtId="0" fontId="51" fillId="33" borderId="12" xfId="0" applyFont="1" applyFill="1" applyBorder="1" applyAlignment="1">
      <alignment horizontal="centerContinuous"/>
    </xf>
    <xf numFmtId="0" fontId="0" fillId="0" borderId="13" xfId="0" applyFont="1" applyBorder="1" applyAlignment="1">
      <alignment/>
    </xf>
    <xf numFmtId="0" fontId="49" fillId="0" borderId="14" xfId="0" applyFont="1" applyBorder="1" applyAlignment="1">
      <alignment horizontal="center"/>
    </xf>
    <xf numFmtId="0" fontId="49" fillId="0" borderId="0" xfId="0" applyFont="1" applyBorder="1" applyAlignment="1">
      <alignment horizontal="center"/>
    </xf>
    <xf numFmtId="0" fontId="49" fillId="0" borderId="0" xfId="0" applyFont="1" applyAlignment="1">
      <alignment/>
    </xf>
    <xf numFmtId="0" fontId="49" fillId="0" borderId="15" xfId="0" applyFont="1" applyBorder="1" applyAlignment="1">
      <alignment horizontal="center"/>
    </xf>
    <xf numFmtId="0" fontId="49" fillId="0" borderId="16" xfId="0" applyFont="1" applyBorder="1" applyAlignment="1">
      <alignment horizontal="center"/>
    </xf>
    <xf numFmtId="0" fontId="49" fillId="0" borderId="16" xfId="0" applyFont="1" applyFill="1" applyBorder="1" applyAlignment="1">
      <alignment horizontal="center"/>
    </xf>
    <xf numFmtId="0" fontId="0" fillId="0" borderId="0" xfId="0" applyFill="1" applyBorder="1" applyAlignment="1" quotePrefix="1">
      <alignment horizontal="left"/>
    </xf>
    <xf numFmtId="0" fontId="33" fillId="0" borderId="13" xfId="0" applyFont="1" applyBorder="1" applyAlignment="1">
      <alignment/>
    </xf>
    <xf numFmtId="38" fontId="0" fillId="0" borderId="0" xfId="0" applyNumberFormat="1" applyFont="1" applyAlignment="1">
      <alignment/>
    </xf>
    <xf numFmtId="0" fontId="0" fillId="0" borderId="0" xfId="0" applyAlignment="1" quotePrefix="1">
      <alignment horizontal="left"/>
    </xf>
    <xf numFmtId="165" fontId="0" fillId="0" borderId="0" xfId="0" applyNumberFormat="1" applyFont="1" applyAlignment="1">
      <alignment/>
    </xf>
    <xf numFmtId="3" fontId="0" fillId="0" borderId="0" xfId="0" applyNumberFormat="1" applyFont="1" applyAlignment="1">
      <alignment/>
    </xf>
    <xf numFmtId="3" fontId="52" fillId="0" borderId="0" xfId="0" applyNumberFormat="1" applyFont="1" applyBorder="1" applyAlignment="1">
      <alignment/>
    </xf>
    <xf numFmtId="165" fontId="3" fillId="0" borderId="0" xfId="0" applyNumberFormat="1" applyFont="1" applyBorder="1" applyAlignment="1">
      <alignment/>
    </xf>
    <xf numFmtId="0" fontId="0" fillId="0" borderId="0" xfId="0" applyFont="1" applyAlignment="1">
      <alignment horizontal="left"/>
    </xf>
    <xf numFmtId="0" fontId="0" fillId="0" borderId="0" xfId="0" applyFont="1" applyAlignment="1" quotePrefix="1">
      <alignment horizontal="left"/>
    </xf>
    <xf numFmtId="0" fontId="0" fillId="0" borderId="0" xfId="0" applyAlignment="1">
      <alignment horizontal="center"/>
    </xf>
    <xf numFmtId="167" fontId="53" fillId="0" borderId="11" xfId="0" applyNumberFormat="1" applyFont="1" applyBorder="1" applyAlignment="1">
      <alignment/>
    </xf>
    <xf numFmtId="0" fontId="49" fillId="0" borderId="0" xfId="0" applyFont="1" applyAlignment="1" quotePrefix="1">
      <alignment horizontal="left"/>
    </xf>
    <xf numFmtId="3" fontId="53" fillId="0" borderId="0" xfId="0" applyNumberFormat="1" applyFont="1" applyBorder="1" applyAlignment="1">
      <alignment horizontal="right"/>
    </xf>
    <xf numFmtId="38" fontId="49" fillId="0" borderId="0" xfId="0" applyNumberFormat="1" applyFont="1" applyAlignment="1">
      <alignment/>
    </xf>
    <xf numFmtId="38" fontId="49" fillId="0" borderId="0" xfId="0" applyNumberFormat="1" applyFont="1" applyBorder="1" applyAlignment="1">
      <alignment/>
    </xf>
    <xf numFmtId="3" fontId="0" fillId="0" borderId="0" xfId="0" applyNumberFormat="1" applyFont="1" applyAlignment="1">
      <alignment horizontal="center"/>
    </xf>
    <xf numFmtId="3" fontId="53" fillId="0" borderId="0" xfId="0" applyNumberFormat="1" applyFont="1" applyBorder="1" applyAlignment="1">
      <alignment/>
    </xf>
    <xf numFmtId="167" fontId="3" fillId="0" borderId="0" xfId="0" applyNumberFormat="1" applyFont="1" applyBorder="1" applyAlignment="1">
      <alignment/>
    </xf>
    <xf numFmtId="0" fontId="0" fillId="0" borderId="0" xfId="0" applyFont="1" applyFill="1" applyBorder="1" applyAlignment="1" quotePrefix="1">
      <alignment horizontal="left"/>
    </xf>
    <xf numFmtId="165" fontId="0" fillId="0" borderId="0" xfId="0" applyNumberFormat="1" applyFont="1" applyBorder="1" applyAlignment="1">
      <alignment/>
    </xf>
    <xf numFmtId="0" fontId="0" fillId="0" borderId="0" xfId="0" applyFont="1" applyBorder="1" applyAlignment="1">
      <alignment horizontal="center"/>
    </xf>
    <xf numFmtId="10" fontId="0" fillId="0" borderId="0" xfId="0" applyNumberFormat="1" applyFont="1" applyAlignment="1">
      <alignment/>
    </xf>
    <xf numFmtId="0" fontId="54" fillId="0" borderId="0" xfId="0" applyFont="1" applyAlignment="1">
      <alignment/>
    </xf>
    <xf numFmtId="0" fontId="0" fillId="0" borderId="0" xfId="0" applyAlignment="1">
      <alignment wrapText="1"/>
    </xf>
    <xf numFmtId="0" fontId="49" fillId="0" borderId="0" xfId="0" applyFont="1" applyAlignment="1">
      <alignment vertical="top"/>
    </xf>
    <xf numFmtId="0" fontId="0" fillId="0" borderId="0" xfId="0" applyAlignment="1">
      <alignment vertical="top"/>
    </xf>
    <xf numFmtId="0" fontId="52" fillId="0" borderId="0" xfId="0" applyFont="1" applyBorder="1" applyAlignment="1">
      <alignment vertical="top"/>
    </xf>
    <xf numFmtId="0" fontId="0" fillId="0" borderId="0" xfId="0" applyFont="1" applyBorder="1" applyAlignment="1">
      <alignment vertical="top"/>
    </xf>
    <xf numFmtId="0" fontId="0" fillId="0" borderId="0" xfId="0" applyAlignment="1" quotePrefix="1">
      <alignment horizontal="left" wrapText="1"/>
    </xf>
    <xf numFmtId="0" fontId="52" fillId="0" borderId="0" xfId="0" applyFont="1" applyAlignment="1">
      <alignment vertical="top"/>
    </xf>
    <xf numFmtId="164" fontId="53" fillId="0" borderId="10" xfId="0" applyNumberFormat="1" applyFont="1" applyBorder="1" applyAlignment="1" applyProtection="1">
      <alignment/>
      <protection locked="0"/>
    </xf>
    <xf numFmtId="165" fontId="53" fillId="0" borderId="10" xfId="0" applyNumberFormat="1" applyFont="1" applyBorder="1" applyAlignment="1" applyProtection="1">
      <alignment/>
      <protection locked="0"/>
    </xf>
    <xf numFmtId="9" fontId="53" fillId="0" borderId="10" xfId="59" applyFont="1" applyBorder="1" applyAlignment="1" applyProtection="1">
      <alignment/>
      <protection locked="0"/>
    </xf>
    <xf numFmtId="0" fontId="53" fillId="0" borderId="10" xfId="0" applyFont="1" applyBorder="1" applyAlignment="1" applyProtection="1">
      <alignment/>
      <protection locked="0"/>
    </xf>
    <xf numFmtId="166" fontId="53" fillId="0" borderId="10" xfId="59" applyNumberFormat="1" applyFont="1" applyBorder="1" applyAlignment="1" applyProtection="1">
      <alignment/>
      <protection locked="0"/>
    </xf>
    <xf numFmtId="167" fontId="53" fillId="0" borderId="10" xfId="0" applyNumberFormat="1" applyFont="1" applyBorder="1" applyAlignment="1" applyProtection="1">
      <alignment/>
      <protection locked="0"/>
    </xf>
    <xf numFmtId="3" fontId="53" fillId="0" borderId="10" xfId="0" applyNumberFormat="1" applyFont="1" applyBorder="1" applyAlignment="1" applyProtection="1">
      <alignment/>
      <protection locked="0"/>
    </xf>
    <xf numFmtId="3" fontId="53" fillId="0" borderId="10" xfId="0" applyNumberFormat="1" applyFont="1" applyBorder="1" applyAlignment="1" applyProtection="1">
      <alignment horizontal="right"/>
      <protection locked="0"/>
    </xf>
    <xf numFmtId="167" fontId="3" fillId="0" borderId="17" xfId="0" applyNumberFormat="1" applyFont="1" applyBorder="1" applyAlignment="1" applyProtection="1">
      <alignment/>
      <protection/>
    </xf>
    <xf numFmtId="0" fontId="55" fillId="0" borderId="0" xfId="0" applyFont="1" applyAlignment="1">
      <alignment horizontal="right"/>
    </xf>
    <xf numFmtId="0" fontId="56" fillId="0" borderId="0" xfId="0" applyFont="1" applyAlignment="1">
      <alignment horizontal="right"/>
    </xf>
    <xf numFmtId="0" fontId="53" fillId="0" borderId="18" xfId="0" applyFont="1" applyBorder="1" applyAlignment="1" applyProtection="1">
      <alignment horizontal="left"/>
      <protection locked="0"/>
    </xf>
    <xf numFmtId="0" fontId="0" fillId="0" borderId="12" xfId="0" applyFont="1" applyBorder="1" applyAlignment="1" applyProtection="1">
      <alignment/>
      <protection locked="0"/>
    </xf>
    <xf numFmtId="0" fontId="49" fillId="0" borderId="0" xfId="0" applyFont="1" applyBorder="1" applyAlignment="1" quotePrefix="1">
      <alignment horizontal="center"/>
    </xf>
    <xf numFmtId="3" fontId="52" fillId="0" borderId="0" xfId="0" applyNumberFormat="1" applyFont="1" applyAlignment="1">
      <alignment/>
    </xf>
    <xf numFmtId="9" fontId="53" fillId="0" borderId="0" xfId="59" applyFont="1" applyBorder="1" applyAlignment="1" applyProtection="1">
      <alignment/>
      <protection locked="0"/>
    </xf>
    <xf numFmtId="0" fontId="57" fillId="0" borderId="0" xfId="0" applyFont="1" applyAlignment="1" quotePrefix="1">
      <alignment horizontal="left"/>
    </xf>
    <xf numFmtId="38" fontId="0" fillId="0" borderId="17" xfId="0" applyNumberFormat="1" applyFont="1" applyBorder="1" applyAlignment="1">
      <alignment/>
    </xf>
    <xf numFmtId="0" fontId="49" fillId="0" borderId="16" xfId="0" applyFont="1" applyBorder="1" applyAlignment="1" quotePrefix="1">
      <alignment horizontal="center"/>
    </xf>
    <xf numFmtId="166" fontId="49" fillId="0" borderId="0" xfId="59" applyNumberFormat="1" applyFont="1" applyBorder="1" applyAlignment="1">
      <alignment/>
    </xf>
    <xf numFmtId="0" fontId="58" fillId="0" borderId="0" xfId="0" applyFont="1" applyAlignment="1">
      <alignment/>
    </xf>
    <xf numFmtId="0" fontId="0" fillId="0" borderId="0" xfId="0" applyNumberFormat="1" applyAlignment="1">
      <alignment vertical="top" wrapText="1"/>
    </xf>
    <xf numFmtId="0" fontId="0" fillId="0" borderId="0" xfId="0" applyAlignment="1">
      <alignment vertical="top" wrapText="1"/>
    </xf>
    <xf numFmtId="0" fontId="0" fillId="0" borderId="0" xfId="0" applyAlignment="1" quotePrefix="1">
      <alignment horizontal="left" vertical="top"/>
    </xf>
    <xf numFmtId="0" fontId="43" fillId="0" borderId="0" xfId="53" applyAlignment="1" applyProtection="1">
      <alignment/>
      <protection/>
    </xf>
    <xf numFmtId="170" fontId="0" fillId="0" borderId="0" xfId="0" applyNumberFormat="1" applyAlignment="1" quotePrefix="1">
      <alignment horizontal="left"/>
    </xf>
    <xf numFmtId="170" fontId="0" fillId="0" borderId="0" xfId="0" applyNumberForma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75"/>
          <c:y val="-0.011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14225"/>
          <c:y val="0.1545"/>
          <c:w val="0.8375"/>
          <c:h val="0.80575"/>
        </c:manualLayout>
      </c:layout>
      <c:barChart>
        <c:barDir val="col"/>
        <c:grouping val="clustered"/>
        <c:varyColors val="0"/>
        <c:ser>
          <c:idx val="0"/>
          <c:order val="0"/>
          <c:tx>
            <c:v>Annual Cash Flow</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'Cash Flow'!$E$7:$E$37</c:f>
              <c:numCache/>
            </c:numRef>
          </c:cat>
          <c:val>
            <c:numRef>
              <c:f>'Cash Flow'!$I$7:$I$37</c:f>
              <c:numCache/>
            </c:numRef>
          </c:val>
        </c:ser>
        <c:gapWidth val="49"/>
        <c:axId val="61067264"/>
        <c:axId val="12734465"/>
      </c:barChart>
      <c:catAx>
        <c:axId val="61067264"/>
        <c:scaling>
          <c:orientation val="minMax"/>
        </c:scaling>
        <c:axPos val="b"/>
        <c:title>
          <c:tx>
            <c:rich>
              <a:bodyPr vert="horz" rot="0" anchor="ctr"/>
              <a:lstStyle/>
              <a:p>
                <a:pPr algn="ctr">
                  <a:defRPr/>
                </a:pPr>
                <a:r>
                  <a:rPr lang="en-US" cap="none" sz="1200" b="1" i="0" u="none" baseline="0">
                    <a:solidFill>
                      <a:srgbClr val="000000"/>
                    </a:solidFill>
                  </a:rPr>
                  <a:t>Year</a:t>
                </a:r>
              </a:p>
            </c:rich>
          </c:tx>
          <c:layout>
            <c:manualLayout>
              <c:xMode val="factor"/>
              <c:yMode val="factor"/>
              <c:x val="0.00775"/>
              <c:y val="-0.001"/>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2734465"/>
        <c:crosses val="autoZero"/>
        <c:auto val="1"/>
        <c:lblOffset val="100"/>
        <c:tickLblSkip val="2"/>
        <c:noMultiLvlLbl val="0"/>
      </c:catAx>
      <c:valAx>
        <c:axId val="12734465"/>
        <c:scaling>
          <c:orientation val="minMax"/>
        </c:scaling>
        <c:axPos val="l"/>
        <c:title>
          <c:tx>
            <c:rich>
              <a:bodyPr vert="horz" rot="-5400000" anchor="ctr"/>
              <a:lstStyle/>
              <a:p>
                <a:pPr algn="ctr">
                  <a:defRPr/>
                </a:pPr>
                <a:r>
                  <a:rPr lang="en-US" cap="none" sz="1200" b="1" i="0" u="none" baseline="0">
                    <a:solidFill>
                      <a:srgbClr val="000000"/>
                    </a:solidFill>
                  </a:rPr>
                  <a:t>Annual Cash Flow, $</a:t>
                </a:r>
              </a:p>
            </c:rich>
          </c:tx>
          <c:layout>
            <c:manualLayout>
              <c:xMode val="factor"/>
              <c:yMode val="factor"/>
              <c:x val="-0.00075"/>
              <c:y val="0.004"/>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106726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 Id="rId3" Type="http://schemas.openxmlformats.org/officeDocument/2006/relationships/hyperlink" Target="http://www.kec.org/" TargetMode="External" /><Relationship Id="rId4" Type="http://schemas.openxmlformats.org/officeDocument/2006/relationships/hyperlink" Target="http://www.kec.or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0.32475</cdr:x>
      <cdr:y>0.64425</cdr:y>
    </cdr:from>
    <cdr:to>
      <cdr:x>0.80375</cdr:x>
      <cdr:y>0.795</cdr:y>
    </cdr:to>
    <cdr:sp fLocksText="0">
      <cdr:nvSpPr>
        <cdr:cNvPr id="1" name="TextBox 1"/>
        <cdr:cNvSpPr txBox="1">
          <a:spLocks noChangeArrowheads="1"/>
        </cdr:cNvSpPr>
      </cdr:nvSpPr>
      <cdr:spPr>
        <a:xfrm>
          <a:off x="1104900" y="2238375"/>
          <a:ext cx="1638300" cy="523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0.31325</cdr:x>
      <cdr:y>0.64425</cdr:y>
    </cdr:from>
    <cdr:to>
      <cdr:x>0.8205</cdr:x>
      <cdr:y>0.84875</cdr:y>
    </cdr:to>
    <cdr:sp fLocksText="0">
      <cdr:nvSpPr>
        <cdr:cNvPr id="2" name="TextBox 2"/>
        <cdr:cNvSpPr txBox="1">
          <a:spLocks noChangeArrowheads="1"/>
        </cdr:cNvSpPr>
      </cdr:nvSpPr>
      <cdr:spPr>
        <a:xfrm>
          <a:off x="1066800" y="2238375"/>
          <a:ext cx="1733550" cy="7143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41</xdr:row>
      <xdr:rowOff>57150</xdr:rowOff>
    </xdr:from>
    <xdr:to>
      <xdr:col>10</xdr:col>
      <xdr:colOff>0</xdr:colOff>
      <xdr:row>62</xdr:row>
      <xdr:rowOff>133350</xdr:rowOff>
    </xdr:to>
    <xdr:graphicFrame>
      <xdr:nvGraphicFramePr>
        <xdr:cNvPr id="1" name="Chart 1"/>
        <xdr:cNvGraphicFramePr/>
      </xdr:nvGraphicFramePr>
      <xdr:xfrm>
        <a:off x="3057525" y="6877050"/>
        <a:ext cx="3419475" cy="3476625"/>
      </xdr:xfrm>
      <a:graphic>
        <a:graphicData uri="http://schemas.openxmlformats.org/drawingml/2006/chart">
          <c:chart xmlns:c="http://schemas.openxmlformats.org/drawingml/2006/chart" r:id="rId1"/>
        </a:graphicData>
      </a:graphic>
    </xdr:graphicFrame>
    <xdr:clientData/>
  </xdr:twoCellAnchor>
  <xdr:twoCellAnchor>
    <xdr:from>
      <xdr:col>7</xdr:col>
      <xdr:colOff>85725</xdr:colOff>
      <xdr:row>54</xdr:row>
      <xdr:rowOff>152400</xdr:rowOff>
    </xdr:from>
    <xdr:to>
      <xdr:col>9</xdr:col>
      <xdr:colOff>609600</xdr:colOff>
      <xdr:row>56</xdr:row>
      <xdr:rowOff>123825</xdr:rowOff>
    </xdr:to>
    <xdr:sp textlink="$F$43">
      <xdr:nvSpPr>
        <xdr:cNvPr id="2" name="TextBox 2"/>
        <xdr:cNvSpPr txBox="1">
          <a:spLocks noChangeArrowheads="1"/>
        </xdr:cNvSpPr>
      </xdr:nvSpPr>
      <xdr:spPr>
        <a:xfrm>
          <a:off x="4619625" y="9077325"/>
          <a:ext cx="1819275" cy="295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fld id="{1348efdc-b972-45bc-9e8b-07398ae7f431}" type="TxLink">
            <a:rPr lang="en-US" cap="none" sz="1800" b="0" i="0" u="none" baseline="0">
              <a:solidFill>
                <a:srgbClr val="000000"/>
              </a:solidFill>
            </a:rPr>
            <a:t>NPV = $0</a:t>
          </a:fld>
        </a:p>
      </xdr:txBody>
    </xdr:sp>
    <xdr:clientData/>
  </xdr:twoCellAnchor>
  <xdr:twoCellAnchor editAs="oneCell">
    <xdr:from>
      <xdr:col>8</xdr:col>
      <xdr:colOff>123825</xdr:colOff>
      <xdr:row>63</xdr:row>
      <xdr:rowOff>28575</xdr:rowOff>
    </xdr:from>
    <xdr:to>
      <xdr:col>9</xdr:col>
      <xdr:colOff>533400</xdr:colOff>
      <xdr:row>65</xdr:row>
      <xdr:rowOff>152400</xdr:rowOff>
    </xdr:to>
    <xdr:pic>
      <xdr:nvPicPr>
        <xdr:cNvPr id="3" name="Picture 3" descr="KEC TSE Logo 300 dpi.jpg">
          <a:hlinkClick r:id="rId4"/>
        </xdr:cNvPr>
        <xdr:cNvPicPr preferRelativeResize="1">
          <a:picLocks noChangeAspect="1"/>
        </xdr:cNvPicPr>
      </xdr:nvPicPr>
      <xdr:blipFill>
        <a:blip r:embed="rId2"/>
        <a:stretch>
          <a:fillRect/>
        </a:stretch>
      </xdr:blipFill>
      <xdr:spPr>
        <a:xfrm>
          <a:off x="5305425" y="10410825"/>
          <a:ext cx="1057275"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shepherd@kec.org?subject=Small%20Wind%20Cash%20Flow%20Analysi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7"/>
  <sheetViews>
    <sheetView tabSelected="1" zoomScalePageLayoutView="0" workbookViewId="0" topLeftCell="A1">
      <selection activeCell="B5" sqref="B5:C5"/>
    </sheetView>
  </sheetViews>
  <sheetFormatPr defaultColWidth="9.140625" defaultRowHeight="12.75"/>
  <cols>
    <col min="1" max="1" width="25.421875" style="1" customWidth="1"/>
    <col min="2" max="2" width="7.57421875" style="1" bestFit="1" customWidth="1"/>
    <col min="3" max="3" width="8.140625" style="1" bestFit="1" customWidth="1"/>
    <col min="4" max="4" width="1.7109375" style="1" customWidth="1"/>
    <col min="5" max="5" width="5.7109375" style="2" customWidth="1"/>
    <col min="6" max="10" width="9.7109375" style="1" customWidth="1"/>
    <col min="11" max="16384" width="9.140625" style="1" customWidth="1"/>
  </cols>
  <sheetData>
    <row r="1" spans="1:10" ht="26.25">
      <c r="A1" s="53" t="s">
        <v>0</v>
      </c>
      <c r="B1" s="54"/>
      <c r="C1" s="54"/>
      <c r="D1" s="54"/>
      <c r="E1" s="54"/>
      <c r="F1" s="54"/>
      <c r="G1" s="54"/>
      <c r="H1" s="54"/>
      <c r="I1" s="54"/>
      <c r="J1" s="54"/>
    </row>
    <row r="2" spans="1:3" ht="12.75">
      <c r="A2"/>
      <c r="B2"/>
      <c r="C2"/>
    </row>
    <row r="3" spans="1:8" ht="12.75">
      <c r="A3" s="3" t="s">
        <v>1</v>
      </c>
      <c r="B3" s="4"/>
      <c r="C3" s="5"/>
      <c r="E3" s="7"/>
      <c r="H3" s="8" t="s">
        <v>2</v>
      </c>
    </row>
    <row r="4" spans="1:10" ht="12.75">
      <c r="A4" s="9" t="s">
        <v>5</v>
      </c>
      <c r="D4" s="6"/>
      <c r="E4" s="7"/>
      <c r="F4" s="57" t="s">
        <v>114</v>
      </c>
      <c r="G4" s="8"/>
      <c r="H4" s="8" t="s">
        <v>9</v>
      </c>
      <c r="I4" s="8" t="s">
        <v>3</v>
      </c>
      <c r="J4" s="8" t="s">
        <v>116</v>
      </c>
    </row>
    <row r="5" spans="1:10" ht="13.5" thickBot="1">
      <c r="A5" s="1" t="s">
        <v>11</v>
      </c>
      <c r="B5" s="55"/>
      <c r="C5" s="56"/>
      <c r="D5" s="6"/>
      <c r="E5" s="10" t="s">
        <v>6</v>
      </c>
      <c r="F5" s="11" t="s">
        <v>115</v>
      </c>
      <c r="G5" s="11" t="s">
        <v>8</v>
      </c>
      <c r="H5" s="62" t="s">
        <v>119</v>
      </c>
      <c r="I5" s="12" t="s">
        <v>10</v>
      </c>
      <c r="J5" s="12" t="s">
        <v>10</v>
      </c>
    </row>
    <row r="6" spans="1:4" ht="12.75">
      <c r="A6" s="13" t="s">
        <v>12</v>
      </c>
      <c r="B6" s="44"/>
      <c r="D6" s="6"/>
    </row>
    <row r="7" spans="1:10" ht="12.75">
      <c r="A7" s="16" t="s">
        <v>13</v>
      </c>
      <c r="B7" s="45"/>
      <c r="C7" s="17">
        <f>+B7</f>
        <v>0</v>
      </c>
      <c r="D7" s="14">
        <v>0</v>
      </c>
      <c r="E7" s="2">
        <f aca="true" t="shared" si="0" ref="E7:E37">IF(D7&lt;=$B$62,D7," ")</f>
        <v>0</v>
      </c>
      <c r="F7" s="15">
        <f>-B14*C9</f>
        <v>0</v>
      </c>
      <c r="G7" s="15"/>
      <c r="H7" s="15"/>
      <c r="I7" s="15">
        <f>SUM(F7:H7)</f>
        <v>0</v>
      </c>
      <c r="J7" s="15">
        <f>+I7</f>
        <v>0</v>
      </c>
    </row>
    <row r="8" spans="1:10" ht="12.75">
      <c r="A8" s="16" t="s">
        <v>14</v>
      </c>
      <c r="B8" s="46">
        <v>0</v>
      </c>
      <c r="C8" s="58">
        <f>-B8*B7</f>
        <v>0</v>
      </c>
      <c r="D8" s="14">
        <v>1</v>
      </c>
      <c r="E8" s="2">
        <f t="shared" si="0"/>
        <v>1</v>
      </c>
      <c r="F8" s="15">
        <f>IF(E8&lt;=$B$17,-$C$18+C11," ")</f>
        <v>0</v>
      </c>
      <c r="G8" s="15">
        <f>IF(E8&lt;=$B$62,-MAX($C$28:$C$30)*(1+$B$31)^(E8-1)," ")</f>
        <v>0</v>
      </c>
      <c r="H8" s="15">
        <f aca="true" t="shared" si="1" ref="H8:H37">IF(E8&lt;=$B$62,IF($B$37="NB",$C$49,$C$59)*(1+$B$36)^(E8-1)," ")</f>
        <v>0</v>
      </c>
      <c r="I8" s="15">
        <f aca="true" t="shared" si="2" ref="I8:I37">SUM(F8:H8)</f>
        <v>0</v>
      </c>
      <c r="J8" s="15">
        <f>+J7+I8</f>
        <v>0</v>
      </c>
    </row>
    <row r="9" spans="1:10" ht="12.75">
      <c r="A9" s="1" t="s">
        <v>15</v>
      </c>
      <c r="C9" s="20">
        <f>+B7+C8</f>
        <v>0</v>
      </c>
      <c r="D9" s="14">
        <v>2</v>
      </c>
      <c r="E9" s="2">
        <f t="shared" si="0"/>
        <v>2</v>
      </c>
      <c r="F9" s="15">
        <f aca="true" t="shared" si="3" ref="F9:F32">IF(E9&lt;=$B$17,-$C$18," ")</f>
        <v>0</v>
      </c>
      <c r="G9" s="15">
        <f>IF(E9&lt;=$B$62,-MAX($C$28:$C$30)*(1+$B$31)^(E9-1)," ")</f>
        <v>0</v>
      </c>
      <c r="H9" s="15">
        <f t="shared" si="1"/>
        <v>0</v>
      </c>
      <c r="I9" s="15">
        <f t="shared" si="2"/>
        <v>0</v>
      </c>
      <c r="J9" s="15">
        <f aca="true" t="shared" si="4" ref="J9:J37">+J8+I9</f>
        <v>0</v>
      </c>
    </row>
    <row r="10" spans="4:10" ht="12.75">
      <c r="D10" s="14">
        <v>3</v>
      </c>
      <c r="E10" s="2">
        <f t="shared" si="0"/>
        <v>3</v>
      </c>
      <c r="F10" s="15">
        <f t="shared" si="3"/>
        <v>0</v>
      </c>
      <c r="G10" s="15">
        <f>IF(E10&lt;=$B$62,-MAX($C$28:$C$30)*(1+$B$31)^(E10-1)," ")</f>
        <v>0</v>
      </c>
      <c r="H10" s="15">
        <f t="shared" si="1"/>
        <v>0</v>
      </c>
      <c r="I10" s="15">
        <f t="shared" si="2"/>
        <v>0</v>
      </c>
      <c r="J10" s="15">
        <f t="shared" si="4"/>
        <v>0</v>
      </c>
    </row>
    <row r="11" spans="1:10" ht="12.75">
      <c r="A11" s="16" t="s">
        <v>117</v>
      </c>
      <c r="B11" s="46">
        <v>0.3</v>
      </c>
      <c r="C11" s="20">
        <f>B11*B7</f>
        <v>0</v>
      </c>
      <c r="D11" s="14">
        <v>4</v>
      </c>
      <c r="E11" s="2">
        <f t="shared" si="0"/>
        <v>4</v>
      </c>
      <c r="F11" s="15">
        <f t="shared" si="3"/>
        <v>0</v>
      </c>
      <c r="G11" s="15">
        <f>IF(E11&lt;=$B$62,-MAX($C$28:$C$30)*(1+$B$31)^(E11-1)," ")</f>
        <v>0</v>
      </c>
      <c r="H11" s="15">
        <f t="shared" si="1"/>
        <v>0</v>
      </c>
      <c r="I11" s="15">
        <f t="shared" si="2"/>
        <v>0</v>
      </c>
      <c r="J11" s="15">
        <f t="shared" si="4"/>
        <v>0</v>
      </c>
    </row>
    <row r="12" spans="1:10" ht="12.75">
      <c r="A12" s="16"/>
      <c r="B12" s="59"/>
      <c r="C12" s="19"/>
      <c r="D12" s="14">
        <v>5</v>
      </c>
      <c r="E12" s="2">
        <f t="shared" si="0"/>
        <v>5</v>
      </c>
      <c r="F12" s="15">
        <f t="shared" si="3"/>
        <v>0</v>
      </c>
      <c r="G12" s="15">
        <f>IF(E12&lt;=$B$62,-MAX($C$28:$C$30)*(1+$B$31)^(E12-1)," ")</f>
        <v>0</v>
      </c>
      <c r="H12" s="15">
        <f t="shared" si="1"/>
        <v>0</v>
      </c>
      <c r="I12" s="15">
        <f t="shared" si="2"/>
        <v>0</v>
      </c>
      <c r="J12" s="15">
        <f t="shared" si="4"/>
        <v>0</v>
      </c>
    </row>
    <row r="13" spans="1:10" ht="12.75">
      <c r="A13" s="9" t="s">
        <v>7</v>
      </c>
      <c r="D13" s="14">
        <v>6</v>
      </c>
      <c r="E13" s="2">
        <f t="shared" si="0"/>
        <v>6</v>
      </c>
      <c r="F13" s="15" t="str">
        <f t="shared" si="3"/>
        <v> </v>
      </c>
      <c r="G13" s="15">
        <f>IF(E13&lt;=$B$62,-MAX($C$28:$C$30)*(1+$B$31)^(E13-1)," ")</f>
        <v>0</v>
      </c>
      <c r="H13" s="15">
        <f t="shared" si="1"/>
        <v>0</v>
      </c>
      <c r="I13" s="15">
        <f t="shared" si="2"/>
        <v>0</v>
      </c>
      <c r="J13" s="15">
        <f t="shared" si="4"/>
        <v>0</v>
      </c>
    </row>
    <row r="14" spans="1:10" ht="12.75">
      <c r="A14" s="16" t="s">
        <v>16</v>
      </c>
      <c r="B14" s="46"/>
      <c r="C14" s="17">
        <f>+C9*B14</f>
        <v>0</v>
      </c>
      <c r="D14" s="14">
        <v>7</v>
      </c>
      <c r="E14" s="2">
        <f t="shared" si="0"/>
        <v>7</v>
      </c>
      <c r="F14" s="15" t="str">
        <f t="shared" si="3"/>
        <v> </v>
      </c>
      <c r="G14" s="15">
        <f>IF(E14&lt;=$B$62,-MAX($C$28:$C$30)*(1+$B$31)^(E14-1)," ")</f>
        <v>0</v>
      </c>
      <c r="H14" s="15">
        <f t="shared" si="1"/>
        <v>0</v>
      </c>
      <c r="I14" s="15">
        <f t="shared" si="2"/>
        <v>0</v>
      </c>
      <c r="J14" s="15">
        <f t="shared" si="4"/>
        <v>0</v>
      </c>
    </row>
    <row r="15" spans="1:10" ht="12.75">
      <c r="A15" s="21" t="s">
        <v>17</v>
      </c>
      <c r="C15" s="17">
        <f>+C9-C14</f>
        <v>0</v>
      </c>
      <c r="D15" s="14">
        <v>8</v>
      </c>
      <c r="E15" s="2">
        <f t="shared" si="0"/>
        <v>8</v>
      </c>
      <c r="F15" s="15" t="str">
        <f t="shared" si="3"/>
        <v> </v>
      </c>
      <c r="G15" s="15">
        <f>IF(E15&lt;=$B$62,-MAX($C$28:$C$30)*(1+$B$31)^(E15-1)," ")</f>
        <v>0</v>
      </c>
      <c r="H15" s="15">
        <f t="shared" si="1"/>
        <v>0</v>
      </c>
      <c r="I15" s="15">
        <f t="shared" si="2"/>
        <v>0</v>
      </c>
      <c r="J15" s="15">
        <f t="shared" si="4"/>
        <v>0</v>
      </c>
    </row>
    <row r="16" spans="1:10" ht="12.75">
      <c r="A16" s="16" t="s">
        <v>18</v>
      </c>
      <c r="B16" s="48"/>
      <c r="D16" s="14">
        <v>9</v>
      </c>
      <c r="E16" s="2">
        <f t="shared" si="0"/>
        <v>9</v>
      </c>
      <c r="F16" s="15" t="str">
        <f t="shared" si="3"/>
        <v> </v>
      </c>
      <c r="G16" s="15">
        <f>IF(E16&lt;=$B$62,-MAX($C$28:$C$30)*(1+$B$31)^(E16-1)," ")</f>
        <v>0</v>
      </c>
      <c r="H16" s="15">
        <f t="shared" si="1"/>
        <v>0</v>
      </c>
      <c r="I16" s="15">
        <f t="shared" si="2"/>
        <v>0</v>
      </c>
      <c r="J16" s="15">
        <f t="shared" si="4"/>
        <v>0</v>
      </c>
    </row>
    <row r="17" spans="1:10" ht="12.75">
      <c r="A17" s="16" t="s">
        <v>19</v>
      </c>
      <c r="B17" s="47">
        <v>5</v>
      </c>
      <c r="D17" s="14">
        <v>10</v>
      </c>
      <c r="E17" s="2">
        <f t="shared" si="0"/>
        <v>10</v>
      </c>
      <c r="F17" s="15" t="str">
        <f t="shared" si="3"/>
        <v> </v>
      </c>
      <c r="G17" s="15">
        <f>IF(E17&lt;=$B$62,-MAX($C$28:$C$30)*(1+$B$31)^(E17-1)," ")</f>
        <v>0</v>
      </c>
      <c r="H17" s="15">
        <f t="shared" si="1"/>
        <v>0</v>
      </c>
      <c r="I17" s="15">
        <f t="shared" si="2"/>
        <v>0</v>
      </c>
      <c r="J17" s="15">
        <f t="shared" si="4"/>
        <v>0</v>
      </c>
    </row>
    <row r="18" spans="1:10" ht="12.75">
      <c r="A18" s="22" t="s">
        <v>20</v>
      </c>
      <c r="B18" s="22"/>
      <c r="C18" s="17">
        <f>-PMT(B16,B17,C15)</f>
        <v>0</v>
      </c>
      <c r="D18" s="14">
        <v>11</v>
      </c>
      <c r="E18" s="2">
        <f t="shared" si="0"/>
        <v>11</v>
      </c>
      <c r="F18" s="15" t="str">
        <f t="shared" si="3"/>
        <v> </v>
      </c>
      <c r="G18" s="15">
        <f>IF(E18&lt;=$B$62,-MAX($C$28:$C$30)*(1+$B$31)^(E18-1)," ")</f>
        <v>0</v>
      </c>
      <c r="H18" s="15">
        <f t="shared" si="1"/>
        <v>0</v>
      </c>
      <c r="I18" s="15">
        <f t="shared" si="2"/>
        <v>0</v>
      </c>
      <c r="J18" s="15">
        <f t="shared" si="4"/>
        <v>0</v>
      </c>
    </row>
    <row r="19" spans="4:10" ht="12.75">
      <c r="D19" s="14">
        <v>12</v>
      </c>
      <c r="E19" s="2">
        <f t="shared" si="0"/>
        <v>12</v>
      </c>
      <c r="F19" s="15" t="str">
        <f t="shared" si="3"/>
        <v> </v>
      </c>
      <c r="G19" s="15">
        <f>IF(E19&lt;=$B$62,-MAX($C$28:$C$30)*(1+$B$31)^(E19-1)," ")</f>
        <v>0</v>
      </c>
      <c r="H19" s="15">
        <f t="shared" si="1"/>
        <v>0</v>
      </c>
      <c r="I19" s="15">
        <f t="shared" si="2"/>
        <v>0</v>
      </c>
      <c r="J19" s="15">
        <f t="shared" si="4"/>
        <v>0</v>
      </c>
    </row>
    <row r="20" spans="1:10" ht="12.75">
      <c r="A20" s="9" t="s">
        <v>26</v>
      </c>
      <c r="D20" s="14">
        <v>13</v>
      </c>
      <c r="E20" s="2">
        <f t="shared" si="0"/>
        <v>13</v>
      </c>
      <c r="F20" s="15" t="str">
        <f t="shared" si="3"/>
        <v> </v>
      </c>
      <c r="G20" s="15">
        <f>IF(E20&lt;=$B$62,-MAX($C$28:$C$30)*(1+$B$31)^(E20-1)," ")</f>
        <v>0</v>
      </c>
      <c r="H20" s="15">
        <f t="shared" si="1"/>
        <v>0</v>
      </c>
      <c r="I20" s="15">
        <f t="shared" si="2"/>
        <v>0</v>
      </c>
      <c r="J20" s="15">
        <f t="shared" si="4"/>
        <v>0</v>
      </c>
    </row>
    <row r="21" spans="1:10" ht="12.75">
      <c r="A21" s="22" t="s">
        <v>27</v>
      </c>
      <c r="B21" s="47"/>
      <c r="D21" s="14">
        <v>14</v>
      </c>
      <c r="E21" s="2">
        <f t="shared" si="0"/>
        <v>14</v>
      </c>
      <c r="F21" s="15" t="str">
        <f t="shared" si="3"/>
        <v> </v>
      </c>
      <c r="G21" s="15">
        <f>IF(E21&lt;=$B$62,-MAX($C$28:$C$30)*(1+$B$31)^(E21-1)," ")</f>
        <v>0</v>
      </c>
      <c r="H21" s="15">
        <f t="shared" si="1"/>
        <v>0</v>
      </c>
      <c r="I21" s="15">
        <f t="shared" si="2"/>
        <v>0</v>
      </c>
      <c r="J21" s="15">
        <f t="shared" si="4"/>
        <v>0</v>
      </c>
    </row>
    <row r="22" spans="1:10" ht="12.75">
      <c r="A22" s="16" t="s">
        <v>28</v>
      </c>
      <c r="B22" s="46">
        <v>0.25</v>
      </c>
      <c r="C22" s="18">
        <f>+B21*8760*B22</f>
        <v>0</v>
      </c>
      <c r="D22" s="14">
        <v>15</v>
      </c>
      <c r="E22" s="2">
        <f t="shared" si="0"/>
        <v>15</v>
      </c>
      <c r="F22" s="15" t="str">
        <f t="shared" si="3"/>
        <v> </v>
      </c>
      <c r="G22" s="15">
        <f>IF(E22&lt;=$B$62,-MAX($C$28:$C$30)*(1+$B$31)^(E22-1)," ")</f>
        <v>0</v>
      </c>
      <c r="H22" s="15">
        <f t="shared" si="1"/>
        <v>0</v>
      </c>
      <c r="I22" s="15">
        <f t="shared" si="2"/>
        <v>0</v>
      </c>
      <c r="J22" s="15">
        <f>+J21+I22</f>
        <v>0</v>
      </c>
    </row>
    <row r="23" spans="1:10" ht="12.75">
      <c r="A23" s="23" t="s">
        <v>23</v>
      </c>
      <c r="B23" s="24"/>
      <c r="C23" s="18"/>
      <c r="D23" s="14">
        <v>16</v>
      </c>
      <c r="E23" s="2">
        <f t="shared" si="0"/>
        <v>16</v>
      </c>
      <c r="F23" s="15" t="str">
        <f t="shared" si="3"/>
        <v> </v>
      </c>
      <c r="G23" s="15">
        <f>IF(E23&lt;=$B$62,-MAX($C$28:$C$30)*(1+$B$31)^(E23-1)," ")</f>
        <v>0</v>
      </c>
      <c r="H23" s="15">
        <f t="shared" si="1"/>
        <v>0</v>
      </c>
      <c r="I23" s="15">
        <f t="shared" si="2"/>
        <v>0</v>
      </c>
      <c r="J23" s="15">
        <f t="shared" si="4"/>
        <v>0</v>
      </c>
    </row>
    <row r="24" spans="1:10" ht="12.75">
      <c r="A24" s="16" t="s">
        <v>29</v>
      </c>
      <c r="B24" s="50"/>
      <c r="C24" s="18"/>
      <c r="D24" s="14">
        <v>17</v>
      </c>
      <c r="E24" s="2">
        <f t="shared" si="0"/>
        <v>17</v>
      </c>
      <c r="F24" s="15" t="str">
        <f t="shared" si="3"/>
        <v> </v>
      </c>
      <c r="G24" s="15">
        <f>IF(E24&lt;=$B$62,-MAX($C$28:$C$30)*(1+$B$31)^(E24-1)," ")</f>
        <v>0</v>
      </c>
      <c r="H24" s="15">
        <f t="shared" si="1"/>
        <v>0</v>
      </c>
      <c r="I24" s="15">
        <f t="shared" si="2"/>
        <v>0</v>
      </c>
      <c r="J24" s="15">
        <f t="shared" si="4"/>
        <v>0</v>
      </c>
    </row>
    <row r="25" spans="1:10" ht="12.75">
      <c r="A25" s="16" t="s">
        <v>125</v>
      </c>
      <c r="C25" s="18">
        <f>IF(B24=0,C22,B24)</f>
        <v>0</v>
      </c>
      <c r="D25" s="14">
        <v>18</v>
      </c>
      <c r="E25" s="2">
        <f t="shared" si="0"/>
        <v>18</v>
      </c>
      <c r="F25" s="15" t="str">
        <f t="shared" si="3"/>
        <v> </v>
      </c>
      <c r="G25" s="15">
        <f>IF(E25&lt;=$B$62,-MAX($C$28:$C$30)*(1+$B$31)^(E25-1)," ")</f>
        <v>0</v>
      </c>
      <c r="H25" s="15">
        <f t="shared" si="1"/>
        <v>0</v>
      </c>
      <c r="I25" s="15">
        <f t="shared" si="2"/>
        <v>0</v>
      </c>
      <c r="J25" s="15">
        <f t="shared" si="4"/>
        <v>0</v>
      </c>
    </row>
    <row r="26" spans="4:10" ht="12.75">
      <c r="D26" s="14">
        <v>19</v>
      </c>
      <c r="E26" s="2">
        <f t="shared" si="0"/>
        <v>19</v>
      </c>
      <c r="F26" s="15" t="str">
        <f t="shared" si="3"/>
        <v> </v>
      </c>
      <c r="G26" s="15">
        <f>IF(E26&lt;=$B$62,-MAX($C$28:$C$30)*(1+$B$31)^(E26-1)," ")</f>
        <v>0</v>
      </c>
      <c r="H26" s="15">
        <f t="shared" si="1"/>
        <v>0</v>
      </c>
      <c r="I26" s="15">
        <f t="shared" si="2"/>
        <v>0</v>
      </c>
      <c r="J26" s="15">
        <f t="shared" si="4"/>
        <v>0</v>
      </c>
    </row>
    <row r="27" spans="1:10" ht="12.75">
      <c r="A27" s="9" t="s">
        <v>21</v>
      </c>
      <c r="D27" s="14">
        <v>20</v>
      </c>
      <c r="E27" s="2">
        <f t="shared" si="0"/>
        <v>20</v>
      </c>
      <c r="F27" s="15" t="str">
        <f t="shared" si="3"/>
        <v> </v>
      </c>
      <c r="G27" s="15">
        <f>IF(E27&lt;=$B$62,-MAX($C$28:$C$30)*(1+$B$31)^(E27-1)," ")</f>
        <v>0</v>
      </c>
      <c r="H27" s="15">
        <f t="shared" si="1"/>
        <v>0</v>
      </c>
      <c r="I27" s="15">
        <f t="shared" si="2"/>
        <v>0</v>
      </c>
      <c r="J27" s="15">
        <f t="shared" si="4"/>
        <v>0</v>
      </c>
    </row>
    <row r="28" spans="1:10" ht="12.75">
      <c r="A28" s="16" t="s">
        <v>22</v>
      </c>
      <c r="B28" s="49">
        <v>0.01</v>
      </c>
      <c r="C28" s="17">
        <f>+B28*C25</f>
        <v>0</v>
      </c>
      <c r="D28" s="14">
        <v>21</v>
      </c>
      <c r="E28" s="2">
        <f t="shared" si="0"/>
        <v>21</v>
      </c>
      <c r="F28" s="15" t="str">
        <f t="shared" si="3"/>
        <v> </v>
      </c>
      <c r="G28" s="15">
        <f>IF(E28&lt;=$B$62,-MAX($C$28:$C$30)*(1+$B$31)^(E28-1)," ")</f>
        <v>0</v>
      </c>
      <c r="H28" s="15">
        <f t="shared" si="1"/>
        <v>0</v>
      </c>
      <c r="I28" s="15">
        <f t="shared" si="2"/>
        <v>0</v>
      </c>
      <c r="J28" s="15">
        <f t="shared" si="4"/>
        <v>0</v>
      </c>
    </row>
    <row r="29" spans="1:10" ht="12.75">
      <c r="A29" s="23" t="s">
        <v>23</v>
      </c>
      <c r="B29" s="24"/>
      <c r="C29" s="17"/>
      <c r="D29" s="14">
        <v>22</v>
      </c>
      <c r="E29" s="2">
        <f t="shared" si="0"/>
        <v>22</v>
      </c>
      <c r="F29" s="15" t="str">
        <f t="shared" si="3"/>
        <v> </v>
      </c>
      <c r="G29" s="15">
        <f>IF(E29&lt;=$B$62,-MAX($C$28:$C$30)*(1+$B$31)^(E29-1)," ")</f>
        <v>0</v>
      </c>
      <c r="H29" s="15">
        <f t="shared" si="1"/>
        <v>0</v>
      </c>
      <c r="I29" s="15">
        <f t="shared" si="2"/>
        <v>0</v>
      </c>
      <c r="J29" s="15">
        <f t="shared" si="4"/>
        <v>0</v>
      </c>
    </row>
    <row r="30" spans="1:10" ht="12.75">
      <c r="A30" s="1" t="s">
        <v>24</v>
      </c>
      <c r="B30" s="48">
        <v>0.01</v>
      </c>
      <c r="C30" s="17">
        <f>+B30*B7</f>
        <v>0</v>
      </c>
      <c r="D30" s="14">
        <v>23</v>
      </c>
      <c r="E30" s="2">
        <f t="shared" si="0"/>
        <v>23</v>
      </c>
      <c r="F30" s="15" t="str">
        <f t="shared" si="3"/>
        <v> </v>
      </c>
      <c r="G30" s="15">
        <f>IF(E30&lt;=$B$62,-MAX($C$28:$C$30)*(1+$B$31)^(E30-1)," ")</f>
        <v>0</v>
      </c>
      <c r="H30" s="15">
        <f t="shared" si="1"/>
        <v>0</v>
      </c>
      <c r="I30" s="15">
        <f t="shared" si="2"/>
        <v>0</v>
      </c>
      <c r="J30" s="15">
        <f t="shared" si="4"/>
        <v>0</v>
      </c>
    </row>
    <row r="31" spans="1:10" ht="12.75">
      <c r="A31" s="22" t="s">
        <v>25</v>
      </c>
      <c r="B31" s="48">
        <v>0.03</v>
      </c>
      <c r="D31" s="14">
        <v>24</v>
      </c>
      <c r="E31" s="2">
        <f t="shared" si="0"/>
        <v>24</v>
      </c>
      <c r="F31" s="15" t="str">
        <f t="shared" si="3"/>
        <v> </v>
      </c>
      <c r="G31" s="15">
        <f>IF(E31&lt;=$B$62,-MAX($C$28:$C$30)*(1+$B$31)^(E31-1)," ")</f>
        <v>0</v>
      </c>
      <c r="H31" s="15">
        <f t="shared" si="1"/>
        <v>0</v>
      </c>
      <c r="I31" s="15">
        <f t="shared" si="2"/>
        <v>0</v>
      </c>
      <c r="J31" s="15">
        <f t="shared" si="4"/>
        <v>0</v>
      </c>
    </row>
    <row r="32" spans="4:10" ht="12.75">
      <c r="D32" s="14">
        <v>25</v>
      </c>
      <c r="E32" s="2">
        <f t="shared" si="0"/>
        <v>25</v>
      </c>
      <c r="F32" s="15" t="str">
        <f t="shared" si="3"/>
        <v> </v>
      </c>
      <c r="G32" s="15">
        <f>IF(E32&lt;=$B$62,-MAX($C$28:$C$30)*(1+$B$31)^(E32-1)," ")</f>
        <v>0</v>
      </c>
      <c r="H32" s="15">
        <f t="shared" si="1"/>
        <v>0</v>
      </c>
      <c r="I32" s="15">
        <f t="shared" si="2"/>
        <v>0</v>
      </c>
      <c r="J32" s="15">
        <f t="shared" si="4"/>
        <v>0</v>
      </c>
    </row>
    <row r="33" spans="1:10" ht="12.75">
      <c r="A33" s="25" t="s">
        <v>30</v>
      </c>
      <c r="D33" s="14">
        <v>26</v>
      </c>
      <c r="E33" s="2">
        <f t="shared" si="0"/>
        <v>26</v>
      </c>
      <c r="F33" s="15"/>
      <c r="G33" s="15">
        <f>IF(E33&lt;=$B$62,-MAX($C$28:$C$30)*(1+$B$31)^(E33-1)," ")</f>
        <v>0</v>
      </c>
      <c r="H33" s="15">
        <f t="shared" si="1"/>
        <v>0</v>
      </c>
      <c r="I33" s="15">
        <f t="shared" si="2"/>
        <v>0</v>
      </c>
      <c r="J33" s="15">
        <f t="shared" si="4"/>
        <v>0</v>
      </c>
    </row>
    <row r="34" spans="1:10" ht="12.75">
      <c r="A34" s="16" t="s">
        <v>31</v>
      </c>
      <c r="B34" s="50"/>
      <c r="D34" s="14">
        <v>27</v>
      </c>
      <c r="E34" s="2">
        <f t="shared" si="0"/>
        <v>27</v>
      </c>
      <c r="F34" s="15"/>
      <c r="G34" s="15">
        <f>IF(E34&lt;=$B$62,-MAX($C$28:$C$30)*(1+$B$31)^(E34-1)," ")</f>
        <v>0</v>
      </c>
      <c r="H34" s="15">
        <f t="shared" si="1"/>
        <v>0</v>
      </c>
      <c r="I34" s="15">
        <f t="shared" si="2"/>
        <v>0</v>
      </c>
      <c r="J34" s="15">
        <f t="shared" si="4"/>
        <v>0</v>
      </c>
    </row>
    <row r="35" spans="1:10" ht="12.75">
      <c r="A35" s="22" t="s">
        <v>32</v>
      </c>
      <c r="B35" s="49">
        <v>0.1</v>
      </c>
      <c r="C35" s="17">
        <f>+B34*B35</f>
        <v>0</v>
      </c>
      <c r="D35" s="14">
        <v>28</v>
      </c>
      <c r="E35" s="2">
        <f t="shared" si="0"/>
        <v>28</v>
      </c>
      <c r="F35" s="15"/>
      <c r="G35" s="15">
        <f>IF(E35&lt;=$B$62,-MAX($C$28:$C$30)*(1+$B$31)^(E35-1)," ")</f>
        <v>0</v>
      </c>
      <c r="H35" s="15">
        <f t="shared" si="1"/>
        <v>0</v>
      </c>
      <c r="I35" s="15">
        <f t="shared" si="2"/>
        <v>0</v>
      </c>
      <c r="J35" s="15">
        <f t="shared" si="4"/>
        <v>0</v>
      </c>
    </row>
    <row r="36" spans="1:10" ht="12.75">
      <c r="A36" s="22" t="s">
        <v>33</v>
      </c>
      <c r="B36" s="48">
        <v>0.02</v>
      </c>
      <c r="D36" s="14">
        <v>29</v>
      </c>
      <c r="E36" s="2">
        <f t="shared" si="0"/>
        <v>29</v>
      </c>
      <c r="F36" s="15"/>
      <c r="G36" s="15">
        <f>IF(E36&lt;=$B$62,-MAX($C$28:$C$30)*(1+$B$31)^(E36-1)," ")</f>
        <v>0</v>
      </c>
      <c r="H36" s="15">
        <f t="shared" si="1"/>
        <v>0</v>
      </c>
      <c r="I36" s="15">
        <f t="shared" si="2"/>
        <v>0</v>
      </c>
      <c r="J36" s="15">
        <f t="shared" si="4"/>
        <v>0</v>
      </c>
    </row>
    <row r="37" spans="1:10" ht="12.75">
      <c r="A37" s="21" t="s">
        <v>34</v>
      </c>
      <c r="B37" s="51" t="s">
        <v>35</v>
      </c>
      <c r="D37" s="14">
        <v>30</v>
      </c>
      <c r="E37" s="2">
        <f t="shared" si="0"/>
        <v>30</v>
      </c>
      <c r="F37" s="15"/>
      <c r="G37" s="15">
        <f>IF(E37&lt;=$B$62,-MAX($C$28:$C$30)*(1+$B$31)^(E37-1)," ")</f>
        <v>0</v>
      </c>
      <c r="H37" s="15">
        <f t="shared" si="1"/>
        <v>0</v>
      </c>
      <c r="I37" s="15">
        <f t="shared" si="2"/>
        <v>0</v>
      </c>
      <c r="J37" s="15">
        <f t="shared" si="4"/>
        <v>0</v>
      </c>
    </row>
    <row r="38" spans="1:12" ht="12.75">
      <c r="A38" s="21"/>
      <c r="B38" s="26"/>
      <c r="D38" s="6"/>
      <c r="E38" s="23" t="s">
        <v>4</v>
      </c>
      <c r="F38" s="61">
        <f>SUM(F7:F37)</f>
        <v>0</v>
      </c>
      <c r="G38" s="61">
        <f>SUM(G7:G37)</f>
        <v>0</v>
      </c>
      <c r="H38" s="61">
        <f>SUM(H7:H37)</f>
        <v>0</v>
      </c>
      <c r="I38" s="61">
        <f>SUM(I7:I37)</f>
        <v>0</v>
      </c>
      <c r="J38" s="15"/>
      <c r="L38" s="22"/>
    </row>
    <row r="39" spans="1:10" ht="12.75">
      <c r="A39" s="22" t="s">
        <v>36</v>
      </c>
      <c r="B39" s="26"/>
      <c r="D39" s="6"/>
      <c r="F39" s="15"/>
      <c r="G39" s="15"/>
      <c r="H39" s="15"/>
      <c r="I39" s="15"/>
      <c r="J39" s="15"/>
    </row>
    <row r="40" spans="1:9" ht="12.75">
      <c r="A40" s="16" t="s">
        <v>38</v>
      </c>
      <c r="B40" s="46">
        <v>0.7</v>
      </c>
      <c r="D40" s="6"/>
      <c r="F40" s="27" t="s">
        <v>37</v>
      </c>
      <c r="H40" s="27"/>
      <c r="I40" s="28">
        <f>NPV($B$63,I7:I37)</f>
        <v>0</v>
      </c>
    </row>
    <row r="41" spans="1:9" ht="12.75">
      <c r="A41" s="21" t="s">
        <v>39</v>
      </c>
      <c r="B41" s="26"/>
      <c r="C41" s="18">
        <f>MIN(B40*C25,B34)</f>
        <v>0</v>
      </c>
      <c r="D41" s="6"/>
      <c r="F41" s="9" t="s">
        <v>120</v>
      </c>
      <c r="I41" s="63" t="e">
        <f>IRR(I7:I37,0.1)</f>
        <v>#NUM!</v>
      </c>
    </row>
    <row r="42" spans="1:5" ht="12.75">
      <c r="A42" s="22" t="s">
        <v>40</v>
      </c>
      <c r="B42" s="26"/>
      <c r="C42" s="18">
        <f>+B34-C41</f>
        <v>0</v>
      </c>
      <c r="D42" s="6"/>
      <c r="E42" s="29"/>
    </row>
    <row r="43" spans="1:6" ht="12.75">
      <c r="A43" s="22" t="s">
        <v>41</v>
      </c>
      <c r="B43" s="30"/>
      <c r="C43" s="18">
        <f>+C25-C41</f>
        <v>0</v>
      </c>
      <c r="D43" s="6"/>
      <c r="F43" s="1" t="str">
        <f>"NPV = "&amp;DOLLAR($I$40,0)</f>
        <v>NPV = $0</v>
      </c>
    </row>
    <row r="44" spans="1:4" ht="12.75">
      <c r="A44" s="22"/>
      <c r="B44" s="30"/>
      <c r="C44" s="18"/>
      <c r="D44" s="6"/>
    </row>
    <row r="45" spans="1:4" ht="12.75">
      <c r="A45" s="22" t="s">
        <v>42</v>
      </c>
      <c r="B45" s="31"/>
      <c r="C45" s="17">
        <f>C42*B35</f>
        <v>0</v>
      </c>
      <c r="D45" s="6"/>
    </row>
    <row r="46" spans="1:4" ht="12.75">
      <c r="A46" s="16" t="s">
        <v>43</v>
      </c>
      <c r="B46" s="49">
        <v>0.035</v>
      </c>
      <c r="C46" s="17"/>
      <c r="D46" s="6"/>
    </row>
    <row r="47" spans="1:4" ht="12.75">
      <c r="A47" s="16" t="s">
        <v>44</v>
      </c>
      <c r="B47" s="52">
        <f>+B46*1.5</f>
        <v>0.052500000000000005</v>
      </c>
      <c r="C47" s="19">
        <f>-C43*B47</f>
        <v>0</v>
      </c>
      <c r="D47" s="6"/>
    </row>
    <row r="48" spans="1:4" ht="12.75">
      <c r="A48" s="32" t="s">
        <v>45</v>
      </c>
      <c r="C48" s="33">
        <f>SUM(C45:C47)</f>
        <v>0</v>
      </c>
      <c r="D48" s="6"/>
    </row>
    <row r="49" spans="1:4" ht="12.75">
      <c r="A49" s="13" t="s">
        <v>46</v>
      </c>
      <c r="C49" s="17">
        <f>$C$35-C48</f>
        <v>0</v>
      </c>
      <c r="D49" s="6"/>
    </row>
    <row r="50" spans="3:4" ht="12.75">
      <c r="C50" s="17"/>
      <c r="D50" s="6"/>
    </row>
    <row r="51" spans="1:4" ht="12.75">
      <c r="A51" s="32" t="s">
        <v>47</v>
      </c>
      <c r="D51" s="6"/>
    </row>
    <row r="52" spans="1:4" ht="12.75">
      <c r="A52" s="21" t="s">
        <v>39</v>
      </c>
      <c r="C52" s="18">
        <f>MIN(B34,C25)</f>
        <v>0</v>
      </c>
      <c r="D52" s="6"/>
    </row>
    <row r="53" spans="1:4" ht="12.75">
      <c r="A53" s="22" t="s">
        <v>40</v>
      </c>
      <c r="C53" s="18">
        <f>MAX(B34-C25,0)</f>
        <v>0</v>
      </c>
      <c r="D53" s="6"/>
    </row>
    <row r="54" spans="1:4" ht="12.75">
      <c r="A54" s="22" t="s">
        <v>48</v>
      </c>
      <c r="C54" s="18">
        <f>MAX(C25-B34,0)</f>
        <v>0</v>
      </c>
      <c r="D54" s="6"/>
    </row>
    <row r="55" spans="1:4" ht="12.75">
      <c r="A55" s="32"/>
      <c r="D55" s="6"/>
    </row>
    <row r="56" spans="1:4" ht="12.75">
      <c r="A56" s="22" t="s">
        <v>42</v>
      </c>
      <c r="B56" s="31"/>
      <c r="C56" s="17">
        <f>C53*B35</f>
        <v>0</v>
      </c>
      <c r="D56" s="6"/>
    </row>
    <row r="57" spans="1:4" ht="12.75">
      <c r="A57" s="16" t="s">
        <v>49</v>
      </c>
      <c r="B57" s="49">
        <v>0</v>
      </c>
      <c r="C57" s="19">
        <f>-C54*B57</f>
        <v>0</v>
      </c>
      <c r="D57" s="6"/>
    </row>
    <row r="58" spans="1:4" ht="12.75">
      <c r="A58" s="32" t="s">
        <v>45</v>
      </c>
      <c r="C58" s="33">
        <f>SUM(C56:C57)</f>
        <v>0</v>
      </c>
      <c r="D58" s="6"/>
    </row>
    <row r="59" spans="1:4" ht="12.75">
      <c r="A59" s="13" t="s">
        <v>46</v>
      </c>
      <c r="C59" s="17">
        <f>$C$35-C58</f>
        <v>0</v>
      </c>
      <c r="D59" s="6"/>
    </row>
    <row r="60" spans="4:5" ht="12.75">
      <c r="D60" s="6"/>
      <c r="E60" s="34"/>
    </row>
    <row r="61" spans="1:4" ht="12.75">
      <c r="A61" s="25" t="s">
        <v>50</v>
      </c>
      <c r="D61" s="6"/>
    </row>
    <row r="62" spans="1:5" ht="12.75">
      <c r="A62" s="21" t="s">
        <v>51</v>
      </c>
      <c r="B62" s="47">
        <v>30</v>
      </c>
      <c r="D62" s="6"/>
      <c r="E62" s="34"/>
    </row>
    <row r="63" spans="1:4" ht="12.75">
      <c r="A63" s="16" t="s">
        <v>52</v>
      </c>
      <c r="B63" s="48">
        <v>0.08</v>
      </c>
      <c r="C63" s="35"/>
      <c r="D63" s="6"/>
    </row>
    <row r="64" ht="12.75"/>
    <row r="65" ht="12.75">
      <c r="A65" s="16" t="s">
        <v>54</v>
      </c>
    </row>
    <row r="66" ht="12.75">
      <c r="A66" s="16" t="s">
        <v>55</v>
      </c>
    </row>
    <row r="67" spans="1:10" ht="12.75">
      <c r="A67" s="16" t="s">
        <v>56</v>
      </c>
      <c r="I67" s="68" t="s">
        <v>135</v>
      </c>
      <c r="J67" s="60" t="s">
        <v>118</v>
      </c>
    </row>
  </sheetData>
  <sheetProtection password="C627" sheet="1" objects="1" scenarios="1"/>
  <mergeCells count="2">
    <mergeCell ref="A1:J1"/>
    <mergeCell ref="B5:C5"/>
  </mergeCells>
  <dataValidations count="2">
    <dataValidation type="whole" allowBlank="1" showInputMessage="1" showErrorMessage="1" error="Enter a number from 1 to 30." sqref="B62">
      <formula1>1</formula1>
      <formula2>30</formula2>
    </dataValidation>
    <dataValidation type="list" showInputMessage="1" showErrorMessage="1" promptTitle="Type of Interconnection Metering" prompt="Select one of the following:&#10;&#10;   NB - Net Billing&#10;   NM - Net Metering" sqref="B37">
      <formula1>"NB, NM"</formula1>
    </dataValidation>
  </dataValidations>
  <hyperlinks>
    <hyperlink ref="I67" r:id="rId1" display="Feedback"/>
  </hyperlinks>
  <printOptions horizontalCentered="1"/>
  <pageMargins left="0.45" right="0.45" top="0.75" bottom="0.75" header="0.3" footer="0.3"/>
  <pageSetup fitToHeight="1" fitToWidth="1" horizontalDpi="600" verticalDpi="600" orientation="portrait" scale="81"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B48"/>
  <sheetViews>
    <sheetView zoomScalePageLayoutView="0" workbookViewId="0" topLeftCell="A1">
      <selection activeCell="A1" sqref="A1"/>
    </sheetView>
  </sheetViews>
  <sheetFormatPr defaultColWidth="9.140625" defaultRowHeight="12.75"/>
  <cols>
    <col min="1" max="1" width="26.140625" style="0" bestFit="1" customWidth="1"/>
    <col min="2" max="2" width="86.28125" style="37" customWidth="1"/>
  </cols>
  <sheetData>
    <row r="1" ht="30">
      <c r="A1" s="36" t="s">
        <v>121</v>
      </c>
    </row>
    <row r="2" ht="20.25">
      <c r="A2" s="64" t="s">
        <v>57</v>
      </c>
    </row>
    <row r="4" ht="12.75">
      <c r="A4" s="38" t="s">
        <v>5</v>
      </c>
    </row>
    <row r="5" spans="1:2" ht="12.75">
      <c r="A5" s="39" t="s">
        <v>58</v>
      </c>
      <c r="B5" s="37" t="s">
        <v>59</v>
      </c>
    </row>
    <row r="6" spans="1:2" ht="12.75">
      <c r="A6" s="39" t="s">
        <v>60</v>
      </c>
      <c r="B6" s="37" t="s">
        <v>59</v>
      </c>
    </row>
    <row r="7" spans="1:2" ht="25.5">
      <c r="A7" s="39" t="s">
        <v>61</v>
      </c>
      <c r="B7" s="37" t="s">
        <v>62</v>
      </c>
    </row>
    <row r="8" spans="1:2" ht="38.25">
      <c r="A8" s="39" t="s">
        <v>63</v>
      </c>
      <c r="B8" s="66" t="s">
        <v>64</v>
      </c>
    </row>
    <row r="9" spans="1:2" ht="12.75">
      <c r="A9" s="39" t="s">
        <v>65</v>
      </c>
      <c r="B9" s="37" t="s">
        <v>66</v>
      </c>
    </row>
    <row r="10" ht="12.75">
      <c r="A10" s="39"/>
    </row>
    <row r="11" ht="12.75">
      <c r="A11" s="38" t="s">
        <v>7</v>
      </c>
    </row>
    <row r="12" spans="1:2" ht="12.75">
      <c r="A12" s="39" t="s">
        <v>67</v>
      </c>
      <c r="B12" s="37" t="s">
        <v>68</v>
      </c>
    </row>
    <row r="13" spans="1:2" ht="12.75">
      <c r="A13" s="39" t="s">
        <v>69</v>
      </c>
      <c r="B13" s="37" t="s">
        <v>70</v>
      </c>
    </row>
    <row r="14" spans="1:2" ht="12.75">
      <c r="A14" s="39" t="s">
        <v>71</v>
      </c>
      <c r="B14" s="37" t="s">
        <v>72</v>
      </c>
    </row>
    <row r="15" ht="12.75">
      <c r="A15" s="39"/>
    </row>
    <row r="16" spans="1:2" ht="12.75">
      <c r="A16" s="38" t="s">
        <v>21</v>
      </c>
      <c r="B16" s="67" t="s">
        <v>122</v>
      </c>
    </row>
    <row r="17" spans="1:2" ht="12.75">
      <c r="A17" s="39" t="s">
        <v>73</v>
      </c>
      <c r="B17" s="37" t="s">
        <v>74</v>
      </c>
    </row>
    <row r="18" spans="1:2" ht="12.75">
      <c r="A18" s="39" t="s">
        <v>75</v>
      </c>
      <c r="B18" s="37" t="s">
        <v>76</v>
      </c>
    </row>
    <row r="19" spans="1:2" ht="12.75">
      <c r="A19" s="39" t="s">
        <v>77</v>
      </c>
      <c r="B19" s="37" t="s">
        <v>78</v>
      </c>
    </row>
    <row r="20" ht="12.75">
      <c r="A20" s="39"/>
    </row>
    <row r="21" spans="1:2" ht="12.75">
      <c r="A21" s="38" t="s">
        <v>26</v>
      </c>
      <c r="B21" s="42" t="s">
        <v>123</v>
      </c>
    </row>
    <row r="22" spans="1:2" ht="12.75">
      <c r="A22" s="39" t="s">
        <v>79</v>
      </c>
      <c r="B22" s="37" t="s">
        <v>80</v>
      </c>
    </row>
    <row r="23" spans="1:2" ht="51">
      <c r="A23" s="39" t="s">
        <v>81</v>
      </c>
      <c r="B23" s="65" t="s">
        <v>82</v>
      </c>
    </row>
    <row r="24" spans="1:2" ht="12.75">
      <c r="A24" s="39" t="s">
        <v>83</v>
      </c>
      <c r="B24" s="65" t="s">
        <v>84</v>
      </c>
    </row>
    <row r="25" ht="12.75">
      <c r="A25" s="39"/>
    </row>
    <row r="26" ht="12.75">
      <c r="A26" s="38" t="s">
        <v>30</v>
      </c>
    </row>
    <row r="27" spans="1:2" ht="12.75">
      <c r="A27" s="39" t="s">
        <v>85</v>
      </c>
      <c r="B27" s="37" t="s">
        <v>86</v>
      </c>
    </row>
    <row r="28" spans="1:2" ht="12.75">
      <c r="A28" s="39" t="s">
        <v>87</v>
      </c>
      <c r="B28" s="37" t="s">
        <v>88</v>
      </c>
    </row>
    <row r="29" spans="1:2" ht="12.75">
      <c r="A29" s="39" t="s">
        <v>89</v>
      </c>
      <c r="B29" s="37" t="s">
        <v>90</v>
      </c>
    </row>
    <row r="30" spans="1:2" ht="12.75">
      <c r="A30" s="39" t="s">
        <v>91</v>
      </c>
      <c r="B30" s="37" t="s">
        <v>92</v>
      </c>
    </row>
    <row r="31" ht="12.75">
      <c r="A31" s="39"/>
    </row>
    <row r="32" ht="12.75">
      <c r="A32" s="40" t="s">
        <v>93</v>
      </c>
    </row>
    <row r="33" spans="1:2" ht="12.75">
      <c r="A33" s="41" t="s">
        <v>94</v>
      </c>
      <c r="B33" s="65" t="s">
        <v>95</v>
      </c>
    </row>
    <row r="34" spans="1:2" ht="12.75">
      <c r="A34" s="39" t="s">
        <v>96</v>
      </c>
      <c r="B34" s="65" t="s">
        <v>97</v>
      </c>
    </row>
    <row r="35" spans="1:2" ht="25.5">
      <c r="A35" s="39" t="s">
        <v>98</v>
      </c>
      <c r="B35" s="42" t="s">
        <v>124</v>
      </c>
    </row>
    <row r="36" spans="1:2" ht="25.5">
      <c r="A36" s="39" t="s">
        <v>99</v>
      </c>
      <c r="B36" s="37" t="s">
        <v>100</v>
      </c>
    </row>
    <row r="37" spans="1:2" ht="25.5">
      <c r="A37" s="39" t="s">
        <v>101</v>
      </c>
      <c r="B37" s="65" t="s">
        <v>102</v>
      </c>
    </row>
    <row r="38" spans="1:2" ht="25.5">
      <c r="A38" s="39" t="s">
        <v>103</v>
      </c>
      <c r="B38" s="37" t="s">
        <v>104</v>
      </c>
    </row>
    <row r="39" ht="12.75">
      <c r="A39" s="39"/>
    </row>
    <row r="40" ht="12.75">
      <c r="A40" s="43" t="s">
        <v>105</v>
      </c>
    </row>
    <row r="41" spans="1:2" ht="25.5">
      <c r="A41" s="39" t="s">
        <v>96</v>
      </c>
      <c r="B41" s="65" t="s">
        <v>106</v>
      </c>
    </row>
    <row r="42" spans="1:2" ht="25.5">
      <c r="A42" s="39" t="s">
        <v>98</v>
      </c>
      <c r="B42" s="42" t="s">
        <v>124</v>
      </c>
    </row>
    <row r="43" spans="1:2" ht="25.5">
      <c r="A43" s="39" t="s">
        <v>107</v>
      </c>
      <c r="B43" s="37" t="s">
        <v>100</v>
      </c>
    </row>
    <row r="44" spans="1:2" ht="25.5">
      <c r="A44" s="39" t="s">
        <v>108</v>
      </c>
      <c r="B44" s="65" t="s">
        <v>109</v>
      </c>
    </row>
    <row r="45" ht="12.75">
      <c r="A45" s="39"/>
    </row>
    <row r="46" ht="12.75">
      <c r="A46" s="38" t="s">
        <v>50</v>
      </c>
    </row>
    <row r="47" spans="1:2" ht="12.75">
      <c r="A47" s="39" t="s">
        <v>110</v>
      </c>
      <c r="B47" s="37" t="s">
        <v>111</v>
      </c>
    </row>
    <row r="48" spans="1:2" ht="25.5">
      <c r="A48" s="39" t="s">
        <v>112</v>
      </c>
      <c r="B48" s="37" t="s">
        <v>113</v>
      </c>
    </row>
  </sheetData>
  <sheetProtection/>
  <printOptions/>
  <pageMargins left="0.7" right="0.7" top="0.75" bottom="0.75" header="0.3" footer="0.3"/>
  <pageSetup fitToHeight="1" fitToWidth="1" horizontalDpi="600" verticalDpi="600" orientation="portrait" scale="82" r:id="rId1"/>
</worksheet>
</file>

<file path=xl/worksheets/sheet3.xml><?xml version="1.0" encoding="utf-8"?>
<worksheet xmlns="http://schemas.openxmlformats.org/spreadsheetml/2006/main" xmlns:r="http://schemas.openxmlformats.org/officeDocument/2006/relationships">
  <dimension ref="A2:C19"/>
  <sheetViews>
    <sheetView zoomScalePageLayoutView="0" workbookViewId="0" topLeftCell="A1">
      <selection activeCell="A1" sqref="A1"/>
    </sheetView>
  </sheetViews>
  <sheetFormatPr defaultColWidth="9.140625" defaultRowHeight="12.75"/>
  <cols>
    <col min="1" max="1" width="9.140625" style="70" customWidth="1"/>
    <col min="2" max="2" width="10.421875" style="0" bestFit="1" customWidth="1"/>
  </cols>
  <sheetData>
    <row r="2" spans="1:3" ht="12.75">
      <c r="A2" s="70">
        <v>40067</v>
      </c>
      <c r="B2" t="s">
        <v>53</v>
      </c>
      <c r="C2" t="s">
        <v>126</v>
      </c>
    </row>
    <row r="3" spans="1:3" ht="12.75">
      <c r="A3" s="70">
        <v>40185</v>
      </c>
      <c r="B3" t="s">
        <v>118</v>
      </c>
      <c r="C3" t="s">
        <v>127</v>
      </c>
    </row>
    <row r="4" ht="12.75">
      <c r="C4" t="s">
        <v>128</v>
      </c>
    </row>
    <row r="5" ht="12.75">
      <c r="C5" t="s">
        <v>129</v>
      </c>
    </row>
    <row r="6" ht="12.75">
      <c r="C6" t="s">
        <v>136</v>
      </c>
    </row>
    <row r="7" ht="12.75">
      <c r="C7" t="s">
        <v>137</v>
      </c>
    </row>
    <row r="11" ht="12.75">
      <c r="A11" s="70" t="s">
        <v>130</v>
      </c>
    </row>
    <row r="12" ht="12.75">
      <c r="A12" s="69" t="s">
        <v>131</v>
      </c>
    </row>
    <row r="13" ht="12.75">
      <c r="A13" s="70" t="s">
        <v>132</v>
      </c>
    </row>
    <row r="14" ht="12.75">
      <c r="A14" s="70" t="s">
        <v>133</v>
      </c>
    </row>
    <row r="15" ht="12.75">
      <c r="A15" s="70" t="s">
        <v>134</v>
      </c>
    </row>
    <row r="19" ht="12.75">
      <c r="C19" s="68"/>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Kansas Electric Cooperatives,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Doug Shepherd</dc:creator>
  <cp:keywords/>
  <dc:description/>
  <cp:lastModifiedBy>Doug Shepherd</cp:lastModifiedBy>
  <cp:lastPrinted>2010-01-08T04:52:13Z</cp:lastPrinted>
  <dcterms:created xsi:type="dcterms:W3CDTF">2009-09-11T04:54:02Z</dcterms:created>
  <dcterms:modified xsi:type="dcterms:W3CDTF">2010-01-08T05:11:30Z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